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ncarlallen/Desktop/"/>
    </mc:Choice>
  </mc:AlternateContent>
  <xr:revisionPtr revIDLastSave="0" documentId="8_{F25F78EC-6C8F-FD45-A647-B809CADB293A}" xr6:coauthVersionLast="47" xr6:coauthVersionMax="47" xr10:uidLastSave="{00000000-0000-0000-0000-000000000000}"/>
  <bookViews>
    <workbookView xWindow="0" yWindow="0" windowWidth="57600" windowHeight="32400" xr2:uid="{65189187-0A21-EA46-AF95-BFE743AD9722}"/>
  </bookViews>
  <sheets>
    <sheet name="ANNUITY MODEL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  <c r="C25" i="1"/>
  <c r="H29" i="1" s="1"/>
  <c r="H13" i="1" l="1"/>
  <c r="H12" i="1"/>
  <c r="H7" i="1"/>
  <c r="H8" i="1" s="1"/>
  <c r="I20" i="1" s="1"/>
  <c r="C10" i="1"/>
  <c r="H14" i="1" l="1"/>
  <c r="H16" i="1" s="1"/>
  <c r="C14" i="1" s="1"/>
  <c r="C24" i="1" s="1"/>
  <c r="C19" i="1" l="1"/>
  <c r="C27" i="1" s="1"/>
  <c r="H20" i="1" l="1"/>
  <c r="H21" i="1" s="1"/>
  <c r="I21" i="1" l="1"/>
  <c r="H23" i="1" l="1"/>
  <c r="H26" i="1" s="1"/>
  <c r="H30" i="1" l="1"/>
  <c r="H31" i="1" s="1"/>
  <c r="I31" i="1" s="1"/>
  <c r="H27" i="1"/>
</calcChain>
</file>

<file path=xl/sharedStrings.xml><?xml version="1.0" encoding="utf-8"?>
<sst xmlns="http://schemas.openxmlformats.org/spreadsheetml/2006/main" count="54" uniqueCount="52">
  <si>
    <t>The Deal</t>
  </si>
  <si>
    <t>Y-1</t>
  </si>
  <si>
    <t>Y-2</t>
  </si>
  <si>
    <t>Y0</t>
  </si>
  <si>
    <t>Revenues</t>
  </si>
  <si>
    <t>Adjusted EBITDA</t>
  </si>
  <si>
    <t>Average / last</t>
  </si>
  <si>
    <t>Multiple</t>
  </si>
  <si>
    <t>Enterprise Value</t>
  </si>
  <si>
    <t>Adjustments</t>
  </si>
  <si>
    <t>Cash on hand</t>
  </si>
  <si>
    <t>Surplus (deficit)</t>
  </si>
  <si>
    <t>Current Assets</t>
  </si>
  <si>
    <t>Current Liabilities</t>
  </si>
  <si>
    <t>NCA / working capital</t>
  </si>
  <si>
    <t>Min NCA / working capital(1)</t>
  </si>
  <si>
    <t>Total surplus (deficit)</t>
  </si>
  <si>
    <t>Cash / NCA</t>
  </si>
  <si>
    <t>Real estate</t>
  </si>
  <si>
    <t>Less primary debt*</t>
  </si>
  <si>
    <t>Less property debt*</t>
  </si>
  <si>
    <t>100% Equity Value</t>
  </si>
  <si>
    <t>Professional fees</t>
  </si>
  <si>
    <t>Cash / working capital</t>
  </si>
  <si>
    <t>(*) MUST be inputted as a NEGATIVE number</t>
  </si>
  <si>
    <t>Total deal value</t>
  </si>
  <si>
    <t>Legacy debt refinancing</t>
  </si>
  <si>
    <t>% split</t>
  </si>
  <si>
    <t>$ split</t>
  </si>
  <si>
    <t>Total Repayment</t>
  </si>
  <si>
    <t>annual</t>
  </si>
  <si>
    <t>monthly</t>
  </si>
  <si>
    <t>Cover Ratio</t>
  </si>
  <si>
    <t>(1) Based on TWO months of annual revenue</t>
  </si>
  <si>
    <t>NOTES</t>
  </si>
  <si>
    <t>Balance sheet</t>
  </si>
  <si>
    <t>© Dealmaker Wealth Society LLC, All Rights Reserved</t>
  </si>
  <si>
    <t>ANNUITY MODEL</t>
  </si>
  <si>
    <t>Annuity financing stack</t>
  </si>
  <si>
    <t>Surplus cash</t>
  </si>
  <si>
    <t>Annuity</t>
  </si>
  <si>
    <t xml:space="preserve">Annuity </t>
  </si>
  <si>
    <t>Legacy debt repayment</t>
  </si>
  <si>
    <t>Total debt service</t>
  </si>
  <si>
    <t>Length of annuity (years)</t>
  </si>
  <si>
    <t>Legacy debt repayment (years)</t>
  </si>
  <si>
    <t>(2) Based on ONE month of annual revenue</t>
  </si>
  <si>
    <t>% Acquired</t>
  </si>
  <si>
    <t>Min cash(2)</t>
  </si>
  <si>
    <t>BETA</t>
  </si>
  <si>
    <t>Interest Rate ® (3)</t>
  </si>
  <si>
    <t>(3) Has to be at least 0.1%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</si>
</sst>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.0%"/>
    <numFmt numFmtId="165" formatCode="0.0"/>
    <numFmt numFmtId="166" formatCode="_(* #,##0_);_(* \(#,##0\);_(* &quot;-&quot;??_);_(@_)"/>
  </numFmts>
  <fonts count="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6" xfId="0" applyBorder="1"/>
    <xf numFmtId="9" fontId="0" fillId="0" borderId="0" xfId="0" applyNumberFormat="1" applyBorder="1"/>
    <xf numFmtId="0" fontId="3" fillId="0" borderId="5" xfId="0" applyFont="1" applyBorder="1"/>
    <xf numFmtId="0" fontId="4" fillId="0" borderId="0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2" xfId="0" applyBorder="1"/>
    <xf numFmtId="0" fontId="4" fillId="0" borderId="10" xfId="0" applyFont="1" applyFill="1" applyBorder="1"/>
    <xf numFmtId="0" fontId="4" fillId="0" borderId="10" xfId="0" applyFont="1" applyBorder="1"/>
    <xf numFmtId="0" fontId="4" fillId="0" borderId="12" xfId="0" applyFont="1" applyBorder="1"/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166" fontId="0" fillId="0" borderId="0" xfId="1" applyNumberFormat="1" applyFont="1" applyBorder="1"/>
    <xf numFmtId="166" fontId="0" fillId="0" borderId="12" xfId="1" applyNumberFormat="1" applyFont="1" applyBorder="1"/>
    <xf numFmtId="166" fontId="0" fillId="0" borderId="6" xfId="1" applyNumberFormat="1" applyFont="1" applyBorder="1"/>
    <xf numFmtId="166" fontId="0" fillId="0" borderId="9" xfId="1" applyNumberFormat="1" applyFont="1" applyBorder="1"/>
    <xf numFmtId="166" fontId="4" fillId="0" borderId="12" xfId="1" applyNumberFormat="1" applyFont="1" applyBorder="1"/>
    <xf numFmtId="0" fontId="5" fillId="0" borderId="5" xfId="0" applyFont="1" applyBorder="1"/>
    <xf numFmtId="166" fontId="6" fillId="3" borderId="13" xfId="1" applyNumberFormat="1" applyFont="1" applyFill="1" applyBorder="1"/>
    <xf numFmtId="165" fontId="6" fillId="3" borderId="1" xfId="0" applyNumberFormat="1" applyFont="1" applyFill="1" applyBorder="1"/>
    <xf numFmtId="166" fontId="6" fillId="3" borderId="3" xfId="1" applyNumberFormat="1" applyFont="1" applyFill="1" applyBorder="1"/>
    <xf numFmtId="166" fontId="6" fillId="3" borderId="7" xfId="1" applyNumberFormat="1" applyFont="1" applyFill="1" applyBorder="1"/>
    <xf numFmtId="166" fontId="6" fillId="3" borderId="9" xfId="1" applyNumberFormat="1" applyFont="1" applyFill="1" applyBorder="1"/>
    <xf numFmtId="166" fontId="6" fillId="3" borderId="1" xfId="1" applyNumberFormat="1" applyFont="1" applyFill="1" applyBorder="1"/>
    <xf numFmtId="166" fontId="6" fillId="3" borderId="14" xfId="1" applyNumberFormat="1" applyFont="1" applyFill="1" applyBorder="1"/>
    <xf numFmtId="9" fontId="6" fillId="3" borderId="1" xfId="0" applyNumberFormat="1" applyFont="1" applyFill="1" applyBorder="1"/>
    <xf numFmtId="166" fontId="6" fillId="3" borderId="15" xfId="1" applyNumberFormat="1" applyFont="1" applyFill="1" applyBorder="1"/>
    <xf numFmtId="164" fontId="6" fillId="3" borderId="1" xfId="2" applyNumberFormat="1" applyFont="1" applyFill="1" applyBorder="1"/>
    <xf numFmtId="2" fontId="4" fillId="0" borderId="0" xfId="0" applyNumberFormat="1" applyFont="1" applyBorder="1"/>
    <xf numFmtId="0" fontId="7" fillId="0" borderId="8" xfId="0" applyFont="1" applyBorder="1"/>
    <xf numFmtId="2" fontId="2" fillId="4" borderId="1" xfId="0" applyNumberFormat="1" applyFont="1" applyFill="1" applyBorder="1"/>
    <xf numFmtId="0" fontId="0" fillId="0" borderId="0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9" fontId="0" fillId="0" borderId="0" xfId="0" applyNumberFormat="1" applyFont="1" applyFill="1" applyBorder="1"/>
    <xf numFmtId="0" fontId="0" fillId="0" borderId="5" xfId="0" applyFill="1" applyBorder="1"/>
    <xf numFmtId="9" fontId="0" fillId="0" borderId="8" xfId="0" applyNumberFormat="1" applyFont="1" applyFill="1" applyBorder="1"/>
    <xf numFmtId="0" fontId="6" fillId="3" borderId="1" xfId="0" applyFont="1" applyFill="1" applyBorder="1"/>
    <xf numFmtId="166" fontId="0" fillId="0" borderId="6" xfId="0" applyNumberFormat="1" applyBorder="1"/>
    <xf numFmtId="0" fontId="0" fillId="0" borderId="6" xfId="0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8" fillId="0" borderId="2" xfId="0" applyFont="1" applyBorder="1"/>
  </cellXfs>
  <cellStyles count="3">
    <cellStyle name="Comma" xfId="1" builtinId="3"/>
    <cellStyle name="Normal" xfId="0" builtinId="0"/>
    <cellStyle name="Per cent" xfId="2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38100</xdr:colOff>
      <xdr:row>2</xdr:row>
      <xdr:rowOff>0</xdr:rowOff>
    </xdr:from>
    <xdr:to>
      <xdr:col>6</xdr:col>
      <xdr:colOff>346980</xdr:colOff>
      <xdr:row>3</xdr:row>
      <xdr:rowOff>61913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7AB9512-7976-B54D-BCB5-9CD0D9C0E9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94200" y="431800"/>
          <a:ext cx="1959880" cy="2778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86502-50B5-CD40-9977-2E87A590301B}">
  <dimension ref="B1:J37"/>
  <sheetViews>
    <sheetView tabSelected="1" zoomScale="300" zoomScaleNormal="200" workbookViewId="0">
      <selection activeCell="K11" sqref="K11"/>
    </sheetView>
  </sheetViews>
  <sheetFormatPr baseColWidth="10" defaultRowHeight="16" x14ac:dyDescent="0.2"/>
  <cols>
    <col min="1" max="1" width="48.83203125" customWidth="1"/>
    <col min="2" max="2" width="21.83203125" customWidth="1"/>
    <col min="3" max="3" width="13" bestFit="1" customWidth="1"/>
    <col min="4" max="5" width="11.5" bestFit="1" customWidth="1"/>
    <col min="6" max="6" width="10.1640625" customWidth="1"/>
    <col min="7" max="7" width="28.5" bestFit="1" customWidth="1"/>
    <col min="8" max="8" width="13.5" bestFit="1" customWidth="1"/>
    <col min="9" max="9" width="11.6640625" customWidth="1"/>
    <col min="10" max="10" width="10.83203125" style="4"/>
  </cols>
  <sheetData>
    <row r="1" spans="2:10" ht="17" thickBot="1" x14ac:dyDescent="0.25"/>
    <row r="2" spans="2:10" ht="20" thickBot="1" x14ac:dyDescent="0.3">
      <c r="B2" s="47" t="s">
        <v>49</v>
      </c>
      <c r="C2" s="1"/>
      <c r="D2" s="1"/>
      <c r="E2" s="1"/>
      <c r="F2" s="1"/>
      <c r="G2" s="1"/>
      <c r="H2" s="1"/>
      <c r="I2" s="2"/>
    </row>
    <row r="3" spans="2:10" ht="17" thickBot="1" x14ac:dyDescent="0.25">
      <c r="B3" s="39" t="s">
        <v>37</v>
      </c>
      <c r="C3" s="4"/>
      <c r="D3" s="4"/>
      <c r="E3" s="4"/>
      <c r="F3" s="4"/>
      <c r="G3" s="4"/>
      <c r="H3" s="4"/>
      <c r="I3" s="5"/>
    </row>
    <row r="4" spans="2:10" ht="17" thickBot="1" x14ac:dyDescent="0.25">
      <c r="B4" s="3"/>
      <c r="C4" s="4"/>
      <c r="D4" s="4"/>
      <c r="E4" s="4"/>
      <c r="F4" s="4"/>
      <c r="G4" s="4"/>
      <c r="H4" s="4"/>
      <c r="I4" s="5"/>
    </row>
    <row r="5" spans="2:10" ht="17" thickBot="1" x14ac:dyDescent="0.25">
      <c r="B5" s="15" t="s">
        <v>0</v>
      </c>
      <c r="C5" s="17" t="s">
        <v>3</v>
      </c>
      <c r="D5" s="17" t="s">
        <v>1</v>
      </c>
      <c r="E5" s="18" t="s">
        <v>2</v>
      </c>
      <c r="F5" s="4"/>
      <c r="G5" s="14" t="s">
        <v>35</v>
      </c>
      <c r="H5" s="13"/>
      <c r="I5" s="5"/>
      <c r="J5" s="8"/>
    </row>
    <row r="6" spans="2:10" ht="17" thickBot="1" x14ac:dyDescent="0.25">
      <c r="B6" s="3" t="s">
        <v>4</v>
      </c>
      <c r="C6" s="30">
        <v>1134050</v>
      </c>
      <c r="D6" s="27">
        <v>905884</v>
      </c>
      <c r="E6" s="30">
        <v>874395</v>
      </c>
      <c r="F6" s="4"/>
      <c r="G6" s="3" t="s">
        <v>10</v>
      </c>
      <c r="H6" s="30">
        <v>150000</v>
      </c>
      <c r="I6" s="5"/>
    </row>
    <row r="7" spans="2:10" ht="17" thickBot="1" x14ac:dyDescent="0.25">
      <c r="B7" s="3" t="s">
        <v>5</v>
      </c>
      <c r="C7" s="28">
        <v>110384</v>
      </c>
      <c r="D7" s="30">
        <v>91384</v>
      </c>
      <c r="E7" s="29">
        <v>77694</v>
      </c>
      <c r="F7" s="4"/>
      <c r="G7" s="3" t="s">
        <v>48</v>
      </c>
      <c r="H7" s="21">
        <f>C6/12</f>
        <v>94504.166666666672</v>
      </c>
      <c r="I7" s="5"/>
    </row>
    <row r="8" spans="2:10" ht="17" thickBot="1" x14ac:dyDescent="0.25">
      <c r="B8" s="3" t="s">
        <v>6</v>
      </c>
      <c r="C8" s="19">
        <f>MIN(C7,(C7+D7+E7)/3)</f>
        <v>93154</v>
      </c>
      <c r="D8" s="4"/>
      <c r="E8" s="5"/>
      <c r="F8" s="4"/>
      <c r="G8" s="3" t="s">
        <v>11</v>
      </c>
      <c r="H8" s="21">
        <f>H6-H7</f>
        <v>55495.833333333328</v>
      </c>
      <c r="I8" s="5"/>
    </row>
    <row r="9" spans="2:10" ht="17" thickBot="1" x14ac:dyDescent="0.25">
      <c r="B9" s="3" t="s">
        <v>7</v>
      </c>
      <c r="C9" s="26">
        <v>5.5</v>
      </c>
      <c r="D9" s="4"/>
      <c r="E9" s="5"/>
      <c r="F9" s="4"/>
      <c r="G9" s="3"/>
      <c r="H9" s="21"/>
      <c r="I9" s="5"/>
    </row>
    <row r="10" spans="2:10" ht="17" thickBot="1" x14ac:dyDescent="0.25">
      <c r="B10" s="12" t="s">
        <v>8</v>
      </c>
      <c r="C10" s="20">
        <f>C8*C9</f>
        <v>512347</v>
      </c>
      <c r="D10" s="10"/>
      <c r="E10" s="11"/>
      <c r="F10" s="4"/>
      <c r="G10" s="3" t="s">
        <v>12</v>
      </c>
      <c r="H10" s="33">
        <v>350000</v>
      </c>
      <c r="I10" s="5"/>
    </row>
    <row r="11" spans="2:10" ht="17" thickBot="1" x14ac:dyDescent="0.25">
      <c r="B11" s="3"/>
      <c r="C11" s="4"/>
      <c r="D11" s="4"/>
      <c r="E11" s="4"/>
      <c r="F11" s="4"/>
      <c r="G11" s="3" t="s">
        <v>13</v>
      </c>
      <c r="H11" s="30">
        <v>200000</v>
      </c>
      <c r="I11" s="5"/>
    </row>
    <row r="12" spans="2:10" ht="17" thickBot="1" x14ac:dyDescent="0.25">
      <c r="B12" s="15" t="s">
        <v>9</v>
      </c>
      <c r="C12" s="16"/>
      <c r="D12" s="4"/>
      <c r="E12" s="4"/>
      <c r="F12" s="4"/>
      <c r="G12" s="3" t="s">
        <v>14</v>
      </c>
      <c r="H12" s="21">
        <f>H10-H11</f>
        <v>150000</v>
      </c>
      <c r="I12" s="5"/>
    </row>
    <row r="13" spans="2:10" x14ac:dyDescent="0.2">
      <c r="B13" s="3"/>
      <c r="C13" s="5"/>
      <c r="D13" s="4"/>
      <c r="E13" s="4"/>
      <c r="F13" s="4"/>
      <c r="G13" s="3" t="s">
        <v>15</v>
      </c>
      <c r="H13" s="21">
        <f>C6*2/12</f>
        <v>189008.33333333334</v>
      </c>
      <c r="I13" s="5"/>
    </row>
    <row r="14" spans="2:10" ht="17" thickBot="1" x14ac:dyDescent="0.25">
      <c r="B14" s="3" t="s">
        <v>17</v>
      </c>
      <c r="C14" s="21">
        <f>H16</f>
        <v>16487.499999999985</v>
      </c>
      <c r="D14" s="4"/>
      <c r="E14" s="4"/>
      <c r="F14" s="4"/>
      <c r="G14" s="3" t="s">
        <v>11</v>
      </c>
      <c r="H14" s="21">
        <f>H12-H13</f>
        <v>-39008.333333333343</v>
      </c>
      <c r="I14" s="5"/>
    </row>
    <row r="15" spans="2:10" ht="17" thickBot="1" x14ac:dyDescent="0.25">
      <c r="B15" s="3" t="s">
        <v>18</v>
      </c>
      <c r="C15" s="30">
        <v>0</v>
      </c>
      <c r="D15" s="4"/>
      <c r="E15" s="4"/>
      <c r="F15" s="4"/>
      <c r="G15" s="3"/>
      <c r="H15" s="21"/>
      <c r="I15" s="5"/>
    </row>
    <row r="16" spans="2:10" ht="17" thickBot="1" x14ac:dyDescent="0.25">
      <c r="B16" s="7" t="s">
        <v>19</v>
      </c>
      <c r="C16" s="31">
        <v>-18050</v>
      </c>
      <c r="D16" s="4"/>
      <c r="E16" s="38"/>
      <c r="F16" s="4"/>
      <c r="G16" s="12" t="s">
        <v>16</v>
      </c>
      <c r="H16" s="20">
        <f>H8+H14</f>
        <v>16487.499999999985</v>
      </c>
      <c r="I16" s="5"/>
    </row>
    <row r="17" spans="2:9" ht="17" thickBot="1" x14ac:dyDescent="0.25">
      <c r="B17" s="7" t="s">
        <v>20</v>
      </c>
      <c r="C17" s="25">
        <v>0</v>
      </c>
      <c r="D17" s="4"/>
      <c r="E17" s="4"/>
      <c r="F17" s="4"/>
      <c r="G17" s="4"/>
      <c r="H17" s="4"/>
      <c r="I17" s="5"/>
    </row>
    <row r="18" spans="2:9" ht="17" thickBot="1" x14ac:dyDescent="0.25">
      <c r="B18" s="3"/>
      <c r="C18" s="21"/>
      <c r="D18" s="4"/>
      <c r="E18" s="4"/>
      <c r="F18" s="4"/>
      <c r="G18" s="15" t="s">
        <v>38</v>
      </c>
      <c r="H18" s="17" t="s">
        <v>27</v>
      </c>
      <c r="I18" s="18" t="s">
        <v>28</v>
      </c>
    </row>
    <row r="19" spans="2:9" ht="17" thickBot="1" x14ac:dyDescent="0.25">
      <c r="B19" s="15" t="s">
        <v>21</v>
      </c>
      <c r="C19" s="23">
        <f>C10+C14+C15+C16+C17</f>
        <v>510784.5</v>
      </c>
      <c r="D19" s="4"/>
      <c r="E19" s="4"/>
      <c r="F19" s="4"/>
      <c r="G19" s="3"/>
      <c r="H19" s="4"/>
      <c r="I19" s="5"/>
    </row>
    <row r="20" spans="2:9" ht="17" thickBot="1" x14ac:dyDescent="0.25">
      <c r="B20" s="3"/>
      <c r="C20" s="4"/>
      <c r="D20" s="4"/>
      <c r="E20" s="4"/>
      <c r="F20" s="4"/>
      <c r="G20" s="3" t="s">
        <v>39</v>
      </c>
      <c r="H20" s="40">
        <f>I20/C27</f>
        <v>0.10204544458531654</v>
      </c>
      <c r="I20" s="21">
        <f>MAX(0,H8)</f>
        <v>55495.833333333328</v>
      </c>
    </row>
    <row r="21" spans="2:9" ht="17" thickBot="1" x14ac:dyDescent="0.25">
      <c r="B21" s="15" t="s">
        <v>47</v>
      </c>
      <c r="C21" s="32">
        <v>1</v>
      </c>
      <c r="D21" s="4"/>
      <c r="E21" s="4"/>
      <c r="F21" s="4"/>
      <c r="G21" s="9" t="s">
        <v>40</v>
      </c>
      <c r="H21" s="42">
        <f>100%-H20</f>
        <v>0.8979545554146835</v>
      </c>
      <c r="I21" s="22">
        <f>H21*C27</f>
        <v>488338.66666666669</v>
      </c>
    </row>
    <row r="22" spans="2:9" ht="17" thickBot="1" x14ac:dyDescent="0.25">
      <c r="B22" s="3"/>
      <c r="C22" s="21"/>
      <c r="D22" s="4"/>
      <c r="E22" s="4"/>
      <c r="F22" s="4"/>
      <c r="G22" s="4"/>
      <c r="H22" s="6"/>
      <c r="I22" s="21"/>
    </row>
    <row r="23" spans="2:9" ht="17" thickBot="1" x14ac:dyDescent="0.25">
      <c r="B23" s="3" t="s">
        <v>22</v>
      </c>
      <c r="C23" s="21">
        <v>15000</v>
      </c>
      <c r="D23" s="4"/>
      <c r="E23" s="4"/>
      <c r="F23" s="4"/>
      <c r="G23" s="15" t="s">
        <v>41</v>
      </c>
      <c r="H23" s="23">
        <f>I21</f>
        <v>488338.66666666669</v>
      </c>
      <c r="I23" s="5"/>
    </row>
    <row r="24" spans="2:9" ht="17" thickBot="1" x14ac:dyDescent="0.25">
      <c r="B24" s="3" t="s">
        <v>23</v>
      </c>
      <c r="C24" s="21">
        <f>MAX(0,-C14)</f>
        <v>0</v>
      </c>
      <c r="D24" s="4"/>
      <c r="E24" s="4"/>
      <c r="F24" s="4"/>
      <c r="G24" s="3" t="s">
        <v>44</v>
      </c>
      <c r="H24" s="43">
        <v>10</v>
      </c>
      <c r="I24" s="5"/>
    </row>
    <row r="25" spans="2:9" ht="17" thickBot="1" x14ac:dyDescent="0.25">
      <c r="B25" s="3" t="s">
        <v>26</v>
      </c>
      <c r="C25" s="21">
        <f>-(C16+C17)</f>
        <v>18050</v>
      </c>
      <c r="D25" s="4"/>
      <c r="E25" s="4"/>
      <c r="F25" s="4"/>
      <c r="G25" s="3" t="s">
        <v>50</v>
      </c>
      <c r="H25" s="34">
        <v>0.06</v>
      </c>
      <c r="I25" s="5"/>
    </row>
    <row r="26" spans="2:9" ht="17" thickBot="1" x14ac:dyDescent="0.25">
      <c r="B26" s="3"/>
      <c r="C26" s="21"/>
      <c r="D26" s="4"/>
      <c r="E26" s="4"/>
      <c r="F26" s="4"/>
      <c r="G26" s="12" t="s">
        <v>29</v>
      </c>
      <c r="H26" s="20">
        <f>H23/(1-(1+H25)^(-H24))*H25</f>
        <v>66349.577560064557</v>
      </c>
      <c r="I26" s="45" t="s">
        <v>30</v>
      </c>
    </row>
    <row r="27" spans="2:9" ht="17" thickBot="1" x14ac:dyDescent="0.25">
      <c r="B27" s="12" t="s">
        <v>25</v>
      </c>
      <c r="C27" s="20">
        <f>(C19+C22+C23+C24+C25)*C21</f>
        <v>543834.5</v>
      </c>
      <c r="D27" s="4"/>
      <c r="E27" s="4"/>
      <c r="F27" s="4"/>
      <c r="G27" s="9"/>
      <c r="H27" s="22">
        <f>H26/12</f>
        <v>5529.1314633387128</v>
      </c>
      <c r="I27" s="45" t="s">
        <v>31</v>
      </c>
    </row>
    <row r="28" spans="2:9" ht="17" thickBot="1" x14ac:dyDescent="0.25">
      <c r="B28" s="3"/>
      <c r="C28" s="4"/>
      <c r="D28" s="4"/>
      <c r="E28" s="4"/>
      <c r="F28" s="4"/>
      <c r="G28" s="41" t="s">
        <v>45</v>
      </c>
      <c r="H28" s="43">
        <v>3</v>
      </c>
      <c r="I28" s="45"/>
    </row>
    <row r="29" spans="2:9" x14ac:dyDescent="0.2">
      <c r="B29" s="24" t="s">
        <v>34</v>
      </c>
      <c r="C29" s="4"/>
      <c r="D29" s="4"/>
      <c r="E29" s="4"/>
      <c r="F29" s="4"/>
      <c r="G29" s="41" t="s">
        <v>42</v>
      </c>
      <c r="H29" s="44">
        <f>C25/H28</f>
        <v>6016.666666666667</v>
      </c>
      <c r="I29" s="45" t="s">
        <v>30</v>
      </c>
    </row>
    <row r="30" spans="2:9" ht="17" thickBot="1" x14ac:dyDescent="0.25">
      <c r="B30" s="3" t="s">
        <v>24</v>
      </c>
      <c r="C30" s="4"/>
      <c r="D30" s="4"/>
      <c r="E30" s="4"/>
      <c r="F30" s="4"/>
      <c r="G30" s="41" t="s">
        <v>43</v>
      </c>
      <c r="H30" s="44">
        <f>H29+H26</f>
        <v>72366.244226731229</v>
      </c>
      <c r="I30" s="5"/>
    </row>
    <row r="31" spans="2:9" ht="17" thickBot="1" x14ac:dyDescent="0.25">
      <c r="B31" s="3" t="s">
        <v>33</v>
      </c>
      <c r="C31" s="4"/>
      <c r="D31" s="4"/>
      <c r="E31" s="4"/>
      <c r="F31" s="4"/>
      <c r="G31" s="15" t="s">
        <v>32</v>
      </c>
      <c r="H31" s="37">
        <f>C7/H30</f>
        <v>1.5253520640667084</v>
      </c>
      <c r="I31" s="46" t="str">
        <f>IF(H31&lt;1.5,"FAIL","PASS")</f>
        <v>PASS</v>
      </c>
    </row>
    <row r="32" spans="2:9" x14ac:dyDescent="0.2">
      <c r="B32" s="3" t="s">
        <v>46</v>
      </c>
      <c r="C32" s="4"/>
      <c r="D32" s="4"/>
      <c r="E32" s="4"/>
      <c r="F32" s="4"/>
      <c r="G32" s="4"/>
      <c r="H32" s="4"/>
      <c r="I32" s="5"/>
    </row>
    <row r="33" spans="2:9" x14ac:dyDescent="0.2">
      <c r="B33" s="3" t="s">
        <v>51</v>
      </c>
      <c r="C33" s="4"/>
      <c r="D33" s="4"/>
      <c r="E33" s="4"/>
      <c r="F33" s="4"/>
      <c r="G33" s="4"/>
      <c r="H33" s="4"/>
      <c r="I33" s="5"/>
    </row>
    <row r="34" spans="2:9" x14ac:dyDescent="0.2">
      <c r="B34" s="3"/>
      <c r="C34" s="4"/>
      <c r="D34" s="4"/>
      <c r="E34" s="4"/>
      <c r="F34" s="4"/>
      <c r="G34" s="4"/>
      <c r="H34" s="4"/>
      <c r="I34" s="5"/>
    </row>
    <row r="35" spans="2:9" x14ac:dyDescent="0.2">
      <c r="B35" s="3"/>
      <c r="C35" s="4"/>
      <c r="D35" s="4"/>
      <c r="E35" s="4"/>
      <c r="F35" s="4"/>
      <c r="G35" s="4"/>
      <c r="H35" s="4"/>
      <c r="I35" s="5"/>
    </row>
    <row r="36" spans="2:9" x14ac:dyDescent="0.2">
      <c r="B36" s="3"/>
      <c r="C36" s="4"/>
      <c r="D36" s="4"/>
      <c r="E36" s="4"/>
      <c r="F36" s="4"/>
      <c r="G36" s="8"/>
      <c r="H36" s="35"/>
      <c r="I36" s="46"/>
    </row>
    <row r="37" spans="2:9" ht="17" thickBot="1" x14ac:dyDescent="0.25">
      <c r="B37" s="9"/>
      <c r="C37" s="10"/>
      <c r="D37" s="36" t="s">
        <v>36</v>
      </c>
      <c r="E37" s="10"/>
      <c r="F37" s="10"/>
      <c r="G37" s="10"/>
      <c r="H37" s="36"/>
      <c r="I37" s="11"/>
    </row>
  </sheetData>
  <conditionalFormatting sqref="H31">
    <cfRule type="cellIs" dxfId="0" priority="1" operator="lessThan">
      <formula>1.5</formula>
    </cfRule>
  </conditionalFormatting>
  <pageMargins left="0.7" right="0.7" top="0.75" bottom="0.75" header="0.3" footer="0.3"/>
  <ignoredErrors>
    <ignoredError sqref="H13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ANNUITY 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Allen</dc:creator>
  <cp:lastModifiedBy>J Allen</cp:lastModifiedBy>
  <dcterms:created xsi:type="dcterms:W3CDTF">2022-05-13T12:31:57Z</dcterms:created>
  <dcterms:modified xsi:type="dcterms:W3CDTF">2022-05-19T08:59:19Z</dcterms:modified>
</cp:coreProperties>
</file>